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rober\Dropbox\CUC 2024 Contract\"/>
    </mc:Choice>
  </mc:AlternateContent>
  <xr:revisionPtr revIDLastSave="0" documentId="13_ncr:1_{99AF9456-E86F-4464-8D80-6815F48B7FA3}" xr6:coauthVersionLast="47" xr6:coauthVersionMax="47" xr10:uidLastSave="{00000000-0000-0000-0000-000000000000}"/>
  <bookViews>
    <workbookView xWindow="-28896" yWindow="8364" windowWidth="28992" windowHeight="15672" xr2:uid="{AD828150-2E0D-46E6-B9DE-FB4D69A2B136}"/>
  </bookViews>
  <sheets>
    <sheet name="Expense Detail" sheetId="1" r:id="rId1"/>
    <sheet name="Surcharge Calculation" sheetId="2" r:id="rId2"/>
  </sheets>
  <externalReferences>
    <externalReference r:id="rId3"/>
  </externalReferences>
  <definedNames>
    <definedName name="_xlnm.Print_Area" localSheetId="0">'Expense Detail'!$A$1:$I$28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0" i="2" l="1"/>
  <c r="C10" i="2"/>
  <c r="B24" i="2"/>
  <c r="B23" i="2"/>
  <c r="B10" i="2"/>
  <c r="B19" i="2"/>
  <c r="B14" i="2"/>
  <c r="B13" i="2"/>
  <c r="B18" i="2"/>
  <c r="D5" i="2"/>
  <c r="C5" i="2"/>
  <c r="C6" i="2"/>
  <c r="D6" i="2"/>
  <c r="D7" i="2" s="1"/>
  <c r="D9" i="2" s="1"/>
  <c r="B6" i="2"/>
  <c r="B5" i="2"/>
  <c r="D8" i="2" l="1"/>
  <c r="B7" i="2"/>
  <c r="C7" i="2"/>
  <c r="B9" i="2" l="1"/>
  <c r="B8" i="2"/>
  <c r="C9" i="2"/>
  <c r="C8" i="2"/>
  <c r="H30" i="1" l="1"/>
  <c r="E30" i="1"/>
  <c r="F30" i="1"/>
  <c r="D30" i="1"/>
  <c r="H29" i="1"/>
  <c r="E29" i="1"/>
  <c r="F29" i="1"/>
  <c r="G29" i="1"/>
  <c r="D29" i="1"/>
  <c r="D28" i="1"/>
  <c r="C28" i="1"/>
  <c r="B28" i="1"/>
  <c r="D27" i="1"/>
  <c r="H27" i="1" s="1"/>
  <c r="D26" i="1"/>
  <c r="D25" i="1"/>
  <c r="D24" i="1"/>
  <c r="H24" i="1" s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H25" i="1"/>
  <c r="H7" i="1"/>
  <c r="E7" i="1"/>
  <c r="E28" i="1" s="1"/>
  <c r="H6" i="1"/>
  <c r="O21" i="1"/>
  <c r="G28" i="1"/>
  <c r="F28" i="1"/>
  <c r="H22" i="1"/>
  <c r="H26" i="1"/>
  <c r="B23" i="1"/>
  <c r="B21" i="1"/>
  <c r="H23" i="1" l="1"/>
  <c r="N22" i="1"/>
  <c r="N23" i="1" s="1"/>
  <c r="M22" i="1"/>
  <c r="H19" i="1"/>
  <c r="H21" i="1"/>
  <c r="H18" i="1"/>
  <c r="H17" i="1"/>
  <c r="H16" i="1"/>
  <c r="H15" i="1"/>
  <c r="H14" i="1"/>
  <c r="H10" i="1"/>
  <c r="H20" i="1"/>
  <c r="H13" i="1"/>
  <c r="H12" i="1"/>
  <c r="H11" i="1"/>
  <c r="H9" i="1"/>
  <c r="H8" i="1"/>
  <c r="M23" i="1" l="1"/>
  <c r="O22" i="1"/>
  <c r="H5" i="1"/>
  <c r="H28" i="1" s="1"/>
  <c r="O23" i="1"/>
  <c r="E31" i="1" l="1"/>
  <c r="D31" i="1"/>
  <c r="H32" i="1" s="1"/>
  <c r="F31" i="1"/>
</calcChain>
</file>

<file path=xl/sharedStrings.xml><?xml version="1.0" encoding="utf-8"?>
<sst xmlns="http://schemas.openxmlformats.org/spreadsheetml/2006/main" count="103" uniqueCount="87">
  <si>
    <t>TOTAL</t>
  </si>
  <si>
    <t>Polyphase Systems, Inc.</t>
  </si>
  <si>
    <t>Crowne Plaza Resort Saipan</t>
  </si>
  <si>
    <t>OHM International Corp.</t>
  </si>
  <si>
    <t>Dateline</t>
  </si>
  <si>
    <t>United Supply Alliance</t>
  </si>
  <si>
    <t>MR Corporation</t>
  </si>
  <si>
    <t>USA Fanter Corporation</t>
  </si>
  <si>
    <t>Guam Power Authority</t>
  </si>
  <si>
    <t>Aggreko International</t>
  </si>
  <si>
    <t>Benson Guam Enterprises</t>
  </si>
  <si>
    <t>2 Bucket trucks rental</t>
  </si>
  <si>
    <t>Concrete &amp; Wooden Poles, pole mounted transformers</t>
  </si>
  <si>
    <t>Conductors, hardware and accessories</t>
  </si>
  <si>
    <t>Pole line materials &amp; hardware</t>
  </si>
  <si>
    <t>Repair/Replacement of fencing at CUC well sites</t>
  </si>
  <si>
    <t>Repair/Replacement of Isley Well Site #4</t>
  </si>
  <si>
    <t>Repair/Replacement of Kagman Water Well Site #2</t>
  </si>
  <si>
    <t>Repair/Rehab of Caroline Heights Water storage tank</t>
  </si>
  <si>
    <t>Repair/Replacement of transformer at Maui Well site</t>
  </si>
  <si>
    <t>Temporary power plant, Tinian</t>
  </si>
  <si>
    <t>GRAND TOTAL</t>
  </si>
  <si>
    <t>Five Star Builders</t>
  </si>
  <si>
    <t>Mutual aid assistance - materials (poles, transformers, etc.)</t>
  </si>
  <si>
    <t>POWER</t>
  </si>
  <si>
    <t>WATER</t>
  </si>
  <si>
    <t>WASTEWATER</t>
  </si>
  <si>
    <t>ADMIN</t>
  </si>
  <si>
    <t>4 year contact, FEMA to pay for rental cost of genset units, approximately $4,824,000 for the 4 years, CUC share is $3,600,000 for the 4 years</t>
  </si>
  <si>
    <t>O&amp;M</t>
  </si>
  <si>
    <t>monthly</t>
  </si>
  <si>
    <t>annual</t>
  </si>
  <si>
    <t>4-year total</t>
  </si>
  <si>
    <t>Tinian Temp Power Plant</t>
  </si>
  <si>
    <t>Saipan temporary power - 3 months (may need to extend)</t>
  </si>
  <si>
    <t>Extended 1 month, then 2 additional months, may need to extend again. First month was $188k, then we negotiated the next 2 months at $139k+, may need to extend again after August 31, 2026.</t>
  </si>
  <si>
    <t>GPA has only invoiced $6,000,000. Not all labor and materials have been invoiced to CUC. $11 million is the estimate for the entire period they were providing mutual aid.</t>
  </si>
  <si>
    <t>I think this is a power restoration expense.</t>
  </si>
  <si>
    <t>Pending RFPs</t>
  </si>
  <si>
    <t>Estimated repairs of fences, damaged structures, wastewater treatment plant, pumps, booster station, etc.</t>
  </si>
  <si>
    <t>Building repairs</t>
  </si>
  <si>
    <t>Generator and Electrical system</t>
  </si>
  <si>
    <t>Control Room repairs</t>
  </si>
  <si>
    <t>Moisture intrusion, DE#10 electrical winding repairs</t>
  </si>
  <si>
    <t>Power Grid Restoration RFP</t>
  </si>
  <si>
    <t>Mutual aid assistance, heavy equipment, and materials to finish restoration work for remaining 3,500 customers.</t>
  </si>
  <si>
    <t>Inventory</t>
  </si>
  <si>
    <t>Meters, conductors, insulators, other materials to complete restoration on all islands.</t>
  </si>
  <si>
    <t>COMMONWEALTH UTILITIES CORPORATION</t>
  </si>
  <si>
    <t>ESTIMATED RESTORATION COST</t>
  </si>
  <si>
    <t>Invoiced as of June 2026</t>
  </si>
  <si>
    <t>AGGREKO UNITS</t>
  </si>
  <si>
    <t xml:space="preserve">Rental </t>
  </si>
  <si>
    <t>Equipment Rentals</t>
  </si>
  <si>
    <t>Various Equipment Rentals</t>
  </si>
  <si>
    <t>Fuel for Generators</t>
  </si>
  <si>
    <t>Estimated fuel costs for generators at wells and lift stations</t>
  </si>
  <si>
    <t>GENERATION</t>
  </si>
  <si>
    <t>&amp; DISTRIBUTION</t>
  </si>
  <si>
    <t>TRANSMISSION</t>
  </si>
  <si>
    <t>CUC</t>
  </si>
  <si>
    <t>DESCRIPTION</t>
  </si>
  <si>
    <t>Hotel accommodations for GPA line crew</t>
  </si>
  <si>
    <t>Temporary repair of roof, replacement of damaged exhaust fans, broken LED fixtures, damaged roll up door, cleaning of berm, etc.</t>
  </si>
  <si>
    <t>Control Room repairs, wires, moisture damage, etc.</t>
  </si>
  <si>
    <t>CFO's Notes</t>
  </si>
  <si>
    <t>ELECTRIC</t>
  </si>
  <si>
    <t>PERCENT BY DIVISION</t>
  </si>
  <si>
    <t>AMOUNT BY UTILITY</t>
  </si>
  <si>
    <t>SHARE OF $20 MILLION TYPHOON RESTORATION SURCHARGE</t>
  </si>
  <si>
    <t xml:space="preserve"> </t>
  </si>
  <si>
    <t>TEST YEAR 2026</t>
  </si>
  <si>
    <t>Surcharge Allocation</t>
  </si>
  <si>
    <t>Unit Cost</t>
  </si>
  <si>
    <t>kWh Sales/kgals</t>
  </si>
  <si>
    <t>Monthly Residentail Increase</t>
  </si>
  <si>
    <t>Monthly Commercial Increase</t>
  </si>
  <si>
    <t>Monthly Government Increase</t>
  </si>
  <si>
    <t xml:space="preserve">2026 Water </t>
  </si>
  <si>
    <t>Government Forecast Kgals</t>
  </si>
  <si>
    <t>Government Forecast Customers</t>
  </si>
  <si>
    <t>Avg kgals/Customer</t>
  </si>
  <si>
    <t>2026 Electric</t>
  </si>
  <si>
    <t>Government Forecast kWh Sales</t>
  </si>
  <si>
    <t xml:space="preserve">2026 WasteWater </t>
  </si>
  <si>
    <t>Avg kWh/Customer</t>
  </si>
  <si>
    <t>$20 Million Typhoon Restoration Surcharge Rate Impact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</si>
</sst>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&quot;$&quot;#,##0.0000_);[Red]\(&quot;$&quot;#,##0.0000\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 val="singleAccounting"/>
      <sz val="11"/>
      <color theme="1"/>
      <name val="Aptos Narrow"/>
      <family val="2"/>
      <scheme val="minor"/>
    </font>
    <font>
      <u val="singleAccounting"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 applyAlignment="1">
      <alignment horizontal="center"/>
    </xf>
    <xf numFmtId="43" fontId="0" fillId="0" borderId="0" xfId="1" applyFont="1"/>
    <xf numFmtId="164" fontId="0" fillId="0" borderId="0" xfId="1" applyNumberFormat="1" applyFont="1"/>
    <xf numFmtId="43" fontId="0" fillId="0" borderId="4" xfId="1" applyFont="1" applyBorder="1"/>
    <xf numFmtId="164" fontId="0" fillId="0" borderId="0" xfId="1" applyNumberFormat="1" applyFont="1" applyBorder="1"/>
    <xf numFmtId="164" fontId="0" fillId="0" borderId="5" xfId="1" applyNumberFormat="1" applyFont="1" applyBorder="1"/>
    <xf numFmtId="0" fontId="0" fillId="0" borderId="4" xfId="0" applyBorder="1"/>
    <xf numFmtId="0" fontId="0" fillId="0" borderId="6" xfId="0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43" fontId="4" fillId="0" borderId="2" xfId="1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43" fontId="3" fillId="0" borderId="1" xfId="1" applyFont="1" applyBorder="1" applyAlignment="1">
      <alignment horizontal="center" wrapText="1"/>
    </xf>
    <xf numFmtId="164" fontId="3" fillId="0" borderId="0" xfId="1" applyNumberFormat="1" applyFont="1" applyBorder="1"/>
    <xf numFmtId="164" fontId="4" fillId="0" borderId="0" xfId="1" applyNumberFormat="1" applyFont="1" applyBorder="1"/>
    <xf numFmtId="164" fontId="4" fillId="0" borderId="5" xfId="1" applyNumberFormat="1" applyFont="1" applyBorder="1"/>
    <xf numFmtId="0" fontId="7" fillId="0" borderId="9" xfId="0" applyFont="1" applyBorder="1" applyAlignment="1">
      <alignment horizontal="centerContinuous"/>
    </xf>
    <xf numFmtId="0" fontId="6" fillId="0" borderId="10" xfId="0" applyFont="1" applyBorder="1" applyAlignment="1">
      <alignment horizontal="centerContinuous"/>
    </xf>
    <xf numFmtId="0" fontId="6" fillId="0" borderId="11" xfId="0" applyFont="1" applyBorder="1" applyAlignment="1">
      <alignment horizontal="centerContinuous"/>
    </xf>
    <xf numFmtId="0" fontId="6" fillId="0" borderId="12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0" fillId="0" borderId="12" xfId="0" applyBorder="1"/>
    <xf numFmtId="43" fontId="2" fillId="0" borderId="13" xfId="1" applyFont="1" applyBorder="1"/>
    <xf numFmtId="0" fontId="0" fillId="0" borderId="16" xfId="0" applyBorder="1" applyAlignment="1">
      <alignment horizontal="left"/>
    </xf>
    <xf numFmtId="0" fontId="0" fillId="0" borderId="17" xfId="0" applyBorder="1"/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43" fontId="3" fillId="0" borderId="22" xfId="1" applyFont="1" applyBorder="1" applyAlignment="1">
      <alignment horizontal="center"/>
    </xf>
    <xf numFmtId="43" fontId="3" fillId="0" borderId="23" xfId="1" applyFont="1" applyBorder="1" applyAlignment="1">
      <alignment horizontal="center"/>
    </xf>
    <xf numFmtId="43" fontId="3" fillId="0" borderId="24" xfId="1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43" fontId="3" fillId="0" borderId="31" xfId="1" applyFont="1" applyBorder="1" applyAlignment="1">
      <alignment horizontal="center"/>
    </xf>
    <xf numFmtId="0" fontId="0" fillId="0" borderId="14" xfId="0" applyBorder="1"/>
    <xf numFmtId="0" fontId="0" fillId="0" borderId="32" xfId="0" applyBorder="1"/>
    <xf numFmtId="0" fontId="2" fillId="0" borderId="33" xfId="0" applyFont="1" applyBorder="1" applyAlignment="1">
      <alignment horizontal="center"/>
    </xf>
    <xf numFmtId="0" fontId="0" fillId="0" borderId="34" xfId="0" applyBorder="1"/>
    <xf numFmtId="0" fontId="2" fillId="0" borderId="35" xfId="0" applyFont="1" applyBorder="1"/>
    <xf numFmtId="0" fontId="2" fillId="0" borderId="36" xfId="0" applyFont="1" applyBorder="1"/>
    <xf numFmtId="43" fontId="3" fillId="0" borderId="38" xfId="1" applyFont="1" applyBorder="1" applyAlignment="1">
      <alignment horizontal="center"/>
    </xf>
    <xf numFmtId="43" fontId="3" fillId="0" borderId="37" xfId="1" applyFont="1" applyBorder="1" applyAlignment="1">
      <alignment horizontal="center"/>
    </xf>
    <xf numFmtId="43" fontId="0" fillId="0" borderId="44" xfId="1" applyFont="1" applyBorder="1"/>
    <xf numFmtId="43" fontId="0" fillId="0" borderId="45" xfId="1" applyFont="1" applyBorder="1"/>
    <xf numFmtId="43" fontId="0" fillId="0" borderId="51" xfId="1" applyFont="1" applyBorder="1"/>
    <xf numFmtId="0" fontId="0" fillId="0" borderId="52" xfId="0" applyBorder="1"/>
    <xf numFmtId="43" fontId="0" fillId="0" borderId="52" xfId="1" applyFont="1" applyBorder="1"/>
    <xf numFmtId="43" fontId="0" fillId="0" borderId="52" xfId="1" applyFont="1" applyBorder="1" applyAlignment="1">
      <alignment wrapText="1"/>
    </xf>
    <xf numFmtId="43" fontId="0" fillId="0" borderId="51" xfId="1" applyFont="1" applyBorder="1" applyAlignment="1">
      <alignment wrapText="1"/>
    </xf>
    <xf numFmtId="43" fontId="2" fillId="0" borderId="39" xfId="1" applyFont="1" applyBorder="1"/>
    <xf numFmtId="43" fontId="2" fillId="0" borderId="46" xfId="1" applyFont="1" applyBorder="1"/>
    <xf numFmtId="164" fontId="0" fillId="0" borderId="47" xfId="0" applyNumberFormat="1" applyBorder="1"/>
    <xf numFmtId="164" fontId="0" fillId="0" borderId="48" xfId="1" applyNumberFormat="1" applyFont="1" applyBorder="1"/>
    <xf numFmtId="164" fontId="0" fillId="0" borderId="49" xfId="1" applyNumberFormat="1" applyFont="1" applyBorder="1"/>
    <xf numFmtId="164" fontId="0" fillId="0" borderId="47" xfId="1" applyNumberFormat="1" applyFont="1" applyBorder="1"/>
    <xf numFmtId="164" fontId="0" fillId="0" borderId="49" xfId="0" applyNumberFormat="1" applyBorder="1"/>
    <xf numFmtId="164" fontId="0" fillId="0" borderId="50" xfId="1" applyNumberFormat="1" applyFont="1" applyBorder="1"/>
    <xf numFmtId="6" fontId="0" fillId="0" borderId="40" xfId="1" applyNumberFormat="1" applyFont="1" applyBorder="1"/>
    <xf numFmtId="6" fontId="0" fillId="0" borderId="41" xfId="1" applyNumberFormat="1" applyFont="1" applyBorder="1"/>
    <xf numFmtId="6" fontId="0" fillId="0" borderId="42" xfId="1" applyNumberFormat="1" applyFont="1" applyBorder="1"/>
    <xf numFmtId="6" fontId="1" fillId="0" borderId="43" xfId="1" applyNumberFormat="1" applyFont="1" applyBorder="1"/>
    <xf numFmtId="6" fontId="2" fillId="0" borderId="27" xfId="0" applyNumberFormat="1" applyFont="1" applyBorder="1"/>
    <xf numFmtId="43" fontId="2" fillId="0" borderId="54" xfId="1" applyFont="1" applyBorder="1"/>
    <xf numFmtId="164" fontId="0" fillId="0" borderId="55" xfId="0" applyNumberFormat="1" applyBorder="1"/>
    <xf numFmtId="164" fontId="0" fillId="0" borderId="56" xfId="1" applyNumberFormat="1" applyFont="1" applyBorder="1"/>
    <xf numFmtId="164" fontId="0" fillId="0" borderId="55" xfId="1" applyNumberFormat="1" applyFont="1" applyBorder="1"/>
    <xf numFmtId="164" fontId="0" fillId="0" borderId="57" xfId="0" applyNumberFormat="1" applyBorder="1"/>
    <xf numFmtId="164" fontId="0" fillId="0" borderId="58" xfId="1" applyNumberFormat="1" applyFont="1" applyBorder="1"/>
    <xf numFmtId="43" fontId="0" fillId="0" borderId="59" xfId="1" applyFont="1" applyBorder="1" applyAlignment="1">
      <alignment wrapText="1"/>
    </xf>
    <xf numFmtId="0" fontId="0" fillId="0" borderId="53" xfId="0" applyBorder="1"/>
    <xf numFmtId="0" fontId="2" fillId="0" borderId="60" xfId="0" applyFont="1" applyBorder="1" applyAlignment="1">
      <alignment horizontal="center"/>
    </xf>
    <xf numFmtId="43" fontId="3" fillId="0" borderId="61" xfId="1" applyFont="1" applyBorder="1" applyAlignment="1">
      <alignment horizontal="center"/>
    </xf>
    <xf numFmtId="6" fontId="0" fillId="0" borderId="62" xfId="1" applyNumberFormat="1" applyFont="1" applyBorder="1"/>
    <xf numFmtId="164" fontId="0" fillId="0" borderId="63" xfId="1" applyNumberFormat="1" applyFont="1" applyBorder="1"/>
    <xf numFmtId="164" fontId="0" fillId="0" borderId="63" xfId="0" applyNumberFormat="1" applyBorder="1"/>
    <xf numFmtId="164" fontId="0" fillId="0" borderId="64" xfId="1" applyNumberFormat="1" applyFont="1" applyBorder="1"/>
    <xf numFmtId="6" fontId="2" fillId="0" borderId="65" xfId="0" applyNumberFormat="1" applyFont="1" applyBorder="1"/>
    <xf numFmtId="0" fontId="2" fillId="0" borderId="66" xfId="0" applyFont="1" applyBorder="1" applyAlignment="1">
      <alignment horizontal="center"/>
    </xf>
    <xf numFmtId="43" fontId="3" fillId="0" borderId="67" xfId="1" applyFont="1" applyBorder="1" applyAlignment="1">
      <alignment horizontal="center"/>
    </xf>
    <xf numFmtId="6" fontId="0" fillId="0" borderId="68" xfId="1" applyNumberFormat="1" applyFont="1" applyBorder="1"/>
    <xf numFmtId="164" fontId="0" fillId="0" borderId="69" xfId="1" applyNumberFormat="1" applyFont="1" applyBorder="1"/>
    <xf numFmtId="164" fontId="0" fillId="0" borderId="70" xfId="1" applyNumberFormat="1" applyFont="1" applyBorder="1"/>
    <xf numFmtId="43" fontId="2" fillId="0" borderId="71" xfId="1" applyFont="1" applyFill="1" applyBorder="1"/>
    <xf numFmtId="0" fontId="0" fillId="0" borderId="72" xfId="0" applyBorder="1"/>
    <xf numFmtId="43" fontId="2" fillId="0" borderId="74" xfId="1" applyFont="1" applyFill="1" applyBorder="1"/>
    <xf numFmtId="0" fontId="0" fillId="0" borderId="75" xfId="0" applyBorder="1"/>
    <xf numFmtId="6" fontId="2" fillId="0" borderId="15" xfId="0" applyNumberFormat="1" applyFont="1" applyBorder="1"/>
    <xf numFmtId="6" fontId="2" fillId="0" borderId="76" xfId="0" applyNumberFormat="1" applyFont="1" applyBorder="1"/>
    <xf numFmtId="0" fontId="0" fillId="0" borderId="77" xfId="0" applyBorder="1"/>
    <xf numFmtId="0" fontId="2" fillId="0" borderId="77" xfId="0" applyFont="1" applyBorder="1"/>
    <xf numFmtId="6" fontId="5" fillId="0" borderId="0" xfId="0" applyNumberFormat="1" applyFont="1"/>
    <xf numFmtId="6" fontId="2" fillId="0" borderId="78" xfId="0" applyNumberFormat="1" applyFont="1" applyBorder="1"/>
    <xf numFmtId="6" fontId="2" fillId="0" borderId="79" xfId="0" applyNumberFormat="1" applyFont="1" applyBorder="1"/>
    <xf numFmtId="6" fontId="2" fillId="0" borderId="80" xfId="0" applyNumberFormat="1" applyFont="1" applyBorder="1"/>
    <xf numFmtId="0" fontId="0" fillId="0" borderId="81" xfId="0" applyBorder="1"/>
    <xf numFmtId="6" fontId="2" fillId="0" borderId="83" xfId="0" applyNumberFormat="1" applyFont="1" applyBorder="1"/>
    <xf numFmtId="6" fontId="2" fillId="0" borderId="81" xfId="0" applyNumberFormat="1" applyFont="1" applyBorder="1"/>
    <xf numFmtId="6" fontId="2" fillId="0" borderId="29" xfId="0" applyNumberFormat="1" applyFont="1" applyBorder="1"/>
    <xf numFmtId="9" fontId="2" fillId="0" borderId="82" xfId="2" applyFont="1" applyFill="1" applyBorder="1"/>
    <xf numFmtId="9" fontId="2" fillId="0" borderId="73" xfId="2" applyFont="1" applyFill="1" applyBorder="1"/>
    <xf numFmtId="9" fontId="2" fillId="0" borderId="84" xfId="2" applyFont="1" applyFill="1" applyBorder="1"/>
    <xf numFmtId="9" fontId="2" fillId="0" borderId="86" xfId="0" applyNumberFormat="1" applyFont="1" applyBorder="1"/>
    <xf numFmtId="9" fontId="2" fillId="0" borderId="85" xfId="2" applyFont="1" applyFill="1" applyBorder="1"/>
    <xf numFmtId="38" fontId="0" fillId="0" borderId="0" xfId="0" applyNumberFormat="1"/>
    <xf numFmtId="0" fontId="6" fillId="0" borderId="37" xfId="0" applyFont="1" applyBorder="1" applyAlignment="1">
      <alignment horizontal="centerContinuous"/>
    </xf>
    <xf numFmtId="0" fontId="6" fillId="0" borderId="18" xfId="0" applyFont="1" applyBorder="1" applyAlignment="1">
      <alignment horizontal="centerContinuous"/>
    </xf>
    <xf numFmtId="0" fontId="2" fillId="0" borderId="37" xfId="0" applyFont="1" applyBorder="1" applyAlignment="1">
      <alignment horizontal="center"/>
    </xf>
    <xf numFmtId="0" fontId="2" fillId="0" borderId="0" xfId="0" applyFont="1"/>
    <xf numFmtId="0" fontId="2" fillId="0" borderId="12" xfId="0" applyFont="1" applyBorder="1"/>
    <xf numFmtId="0" fontId="2" fillId="0" borderId="13" xfId="0" applyFont="1" applyBorder="1"/>
    <xf numFmtId="0" fontId="6" fillId="0" borderId="87" xfId="0" applyFont="1" applyBorder="1" applyAlignment="1">
      <alignment horizontal="centerContinuous"/>
    </xf>
    <xf numFmtId="38" fontId="0" fillId="0" borderId="25" xfId="0" applyNumberFormat="1" applyBorder="1"/>
    <xf numFmtId="38" fontId="0" fillId="0" borderId="26" xfId="0" applyNumberFormat="1" applyBorder="1"/>
    <xf numFmtId="6" fontId="0" fillId="0" borderId="25" xfId="0" applyNumberFormat="1" applyBorder="1"/>
    <xf numFmtId="6" fontId="0" fillId="0" borderId="26" xfId="0" applyNumberFormat="1" applyBorder="1"/>
    <xf numFmtId="165" fontId="2" fillId="0" borderId="25" xfId="0" applyNumberFormat="1" applyFont="1" applyBorder="1"/>
    <xf numFmtId="165" fontId="2" fillId="0" borderId="26" xfId="0" applyNumberFormat="1" applyFont="1" applyBorder="1"/>
    <xf numFmtId="8" fontId="0" fillId="0" borderId="25" xfId="0" applyNumberFormat="1" applyBorder="1"/>
    <xf numFmtId="8" fontId="0" fillId="0" borderId="26" xfId="0" applyNumberFormat="1" applyBorder="1"/>
    <xf numFmtId="8" fontId="0" fillId="0" borderId="27" xfId="0" applyNumberFormat="1" applyBorder="1"/>
    <xf numFmtId="8" fontId="0" fillId="0" borderId="28" xfId="0" applyNumberFormat="1" applyBorder="1"/>
    <xf numFmtId="0" fontId="2" fillId="0" borderId="88" xfId="0" applyFont="1" applyBorder="1" applyAlignment="1">
      <alignment horizontal="center"/>
    </xf>
    <xf numFmtId="43" fontId="3" fillId="0" borderId="89" xfId="1" applyFont="1" applyBorder="1" applyAlignment="1">
      <alignment horizontal="center"/>
    </xf>
    <xf numFmtId="38" fontId="0" fillId="0" borderId="90" xfId="0" applyNumberFormat="1" applyBorder="1"/>
    <xf numFmtId="6" fontId="0" fillId="0" borderId="90" xfId="0" applyNumberFormat="1" applyBorder="1"/>
    <xf numFmtId="165" fontId="2" fillId="0" borderId="90" xfId="0" applyNumberFormat="1" applyFont="1" applyBorder="1"/>
    <xf numFmtId="8" fontId="0" fillId="0" borderId="90" xfId="0" applyNumberFormat="1" applyBorder="1"/>
    <xf numFmtId="8" fontId="0" fillId="0" borderId="91" xfId="0" applyNumberFormat="1" applyBorder="1"/>
  </cellXfs>
  <cellStyles count="3">
    <cellStyle name="Comma" xfId="1" builtinId="3"/>
    <cellStyle name="Normal" xfId="0" builtinId="0"/>
    <cellStyle name="Percent" xfId="2" builtinId="5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obertYoung\Documents\Current%20Files\CUC%202024%20Contract\2025%20CUC%20Rate%20Filing\2025%20Privileged\2025%20DOC%20XLS%20Files\Rate%20Model%20XLS\2025%2009%2012%20CUC%20Combined%20Utilities%20RM%20Scen%20III%205%20Year%20No%20Govt%20with%20MFR.xlsx" TargetMode="External"/><Relationship Id="rId1" Type="http://schemas.openxmlformats.org/officeDocument/2006/relationships/externalLinkPath" Target="/Users/RobertYoung/Documents/Current%20Files/CUC%202024%20Contract/2025%20CUC%20Rate%20Filing/2025%20Privileged/2025%20DOC%20XLS%20Files/Rate%20Model%20XLS/2025%2009%2012%20CUC%20Combined%20Utilities%20RM%20Scen%20III%205%20Year%20No%20Govt%20with%20MF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"/>
      <sheetName val="WW Summary Final"/>
      <sheetName val="Electric Summary Final"/>
      <sheetName val="Water Summary Final"/>
      <sheetName val="Summaries"/>
      <sheetName val="Main Dashboard"/>
      <sheetName val="CUC Rate Plan"/>
      <sheetName val="Res Comm Impact Sum"/>
      <sheetName val="Combined Utility Summary"/>
      <sheetName val="Revenue Summary"/>
      <sheetName val="Revenue Expense Summary"/>
      <sheetName val="Revenues and COS"/>
      <sheetName val="Power Summary"/>
      <sheetName val="Water Summary"/>
      <sheetName val="WW Summary"/>
      <sheetName val="Maint CO Summary"/>
      <sheetName val="IS -- Forecast"/>
      <sheetName val="Rev Test"/>
      <sheetName val="Rate Calculators"/>
      <sheetName val="Power Rate Calculator"/>
      <sheetName val="Water WW Rate Calculator"/>
      <sheetName val="Power"/>
      <sheetName val="P1 Power Functionalization"/>
      <sheetName val="P2 Power Classification"/>
      <sheetName val="P3 Power Allocation"/>
      <sheetName val="P4 Power Revenue Requirement"/>
      <sheetName val="P5 Power Fcst Functional"/>
      <sheetName val="P6 Power Fcst Classification"/>
      <sheetName val="P7 Power Fcst kWh Sales "/>
      <sheetName val="P8 Power Fcst Cost of Service"/>
      <sheetName val="Water"/>
      <sheetName val="W1 Water Functionalization"/>
      <sheetName val="W2 Water Classification"/>
      <sheetName val="W3 Water Allocation"/>
      <sheetName val="W4 Water Fcst Rev Rqmt"/>
      <sheetName val="W5 Water Fcst Functional"/>
      <sheetName val="W6 Water Fcst Classification"/>
      <sheetName val="W7 Water Fcst Volumes"/>
      <sheetName val="W8 Water Fcst Cost of Service"/>
      <sheetName val="W9 Water Standpipe"/>
      <sheetName val="W10 WEC"/>
      <sheetName val="Wastewater"/>
      <sheetName val="WW1 Wastewater Functional"/>
      <sheetName val="WW2 Wastewater Classification"/>
      <sheetName val="WW3 Wastewater Fcst Rev Rqmt"/>
      <sheetName val="WW4 Wastewater Fcst Functional"/>
      <sheetName val="WW5 Wastewater Fcst Customer"/>
      <sheetName val="WW6 Wastewater BOD TSS"/>
      <sheetName val="WW7 Fcst Wastewater Cost of Ser"/>
      <sheetName val="WW8 WWEC"/>
      <sheetName val="Input"/>
      <sheetName val="Accelerator Input"/>
      <sheetName val="Power Load Characteristics Inpu"/>
      <sheetName val="Power Volume Input"/>
      <sheetName val="Water WW Volume Input"/>
      <sheetName val="Water Loss Input"/>
      <sheetName val="Personnel Input"/>
      <sheetName val="Operating Input"/>
      <sheetName val="DeprReserve Input"/>
      <sheetName val="Maintenance Input"/>
      <sheetName val="Capital Outlay Input"/>
      <sheetName val="CIP Funding Input"/>
      <sheetName val="Current Debt Input"/>
      <sheetName val="Future Debt Input"/>
      <sheetName val="MFR Schedules"/>
      <sheetName val="E Sched A"/>
      <sheetName val="E Sched B"/>
      <sheetName val="E Sched C"/>
      <sheetName val="E Sched D"/>
      <sheetName val="E Sched E"/>
      <sheetName val="E Sched F"/>
      <sheetName val="E Sched G"/>
      <sheetName val="E Sched H"/>
      <sheetName val="E Sched I 1"/>
      <sheetName val="E Sched I 3"/>
      <sheetName val="E Sched J"/>
      <sheetName val="W Sched A"/>
      <sheetName val="W Sched B"/>
      <sheetName val="W Sched C"/>
      <sheetName val="W Sched D"/>
      <sheetName val="W Sched E"/>
      <sheetName val="W Sched F"/>
      <sheetName val="W Sched G"/>
      <sheetName val="W Sched H"/>
      <sheetName val="W Sched I 1"/>
      <sheetName val="W Sched I 3"/>
      <sheetName val="W Sched J"/>
      <sheetName val="Presentation Charts"/>
      <sheetName val="Combined Bill Impact"/>
      <sheetName val="Combined Revs and COS"/>
      <sheetName val="E W WW COS 0 Inc"/>
      <sheetName val="E W WW TY Accounts"/>
      <sheetName val="Electric Revs"/>
      <sheetName val="E COS 0 Inc"/>
      <sheetName val="CIP Chart"/>
      <sheetName val="Water Revs"/>
      <sheetName val="W COS 0 Inc"/>
      <sheetName val="W Comp Impact "/>
      <sheetName val="WW Revs"/>
      <sheetName val="WW Comp Impact"/>
      <sheetName val="WW COS 0 Inc"/>
      <sheetName val="ALL UTILITIES Comp Impact"/>
      <sheetName val="Maint CO Chart"/>
      <sheetName val="Scenario Adv Chal"/>
      <sheetName val="Report Tables"/>
      <sheetName val="Electric Current Rates"/>
      <sheetName val="Electric FAC "/>
      <sheetName val="Ele Rate Comps"/>
      <sheetName val="Electric Account Fcst "/>
      <sheetName val="Electric Usage"/>
      <sheetName val="Electric Usage Forecast"/>
      <sheetName val="E W WW Capital Outlay Detail"/>
      <sheetName val="E CIP Table"/>
      <sheetName val="TY E W WW Budget Breakdown"/>
      <sheetName val="E W WW Budget Brk 2"/>
      <sheetName val="E CIP"/>
      <sheetName val="E Forecast Rev Req"/>
      <sheetName val="E F&amp;C&amp;A "/>
      <sheetName val="E Rate Sum"/>
      <sheetName val="E Revenues"/>
      <sheetName val="E Comp Impact "/>
      <sheetName val="W WW Current Rates"/>
      <sheetName val="W Rate Comps"/>
      <sheetName val="W Affordability"/>
      <sheetName val="W Account Fcst"/>
      <sheetName val="WW Account Forecast"/>
      <sheetName val="W Peaking Factors"/>
      <sheetName val="Water TY Usage by Class"/>
      <sheetName val="W Usage Forecast"/>
      <sheetName val="WW Consumption"/>
      <sheetName val="Maintenance Cost Detail"/>
      <sheetName val="W WW CIP Detail"/>
      <sheetName val="NR Water "/>
      <sheetName val="W WW Forecast Rev Req"/>
      <sheetName val="W F&amp;C&amp;A"/>
      <sheetName val="WW F&amp;C&amp;A"/>
      <sheetName val="W WW 0 Increase"/>
      <sheetName val="W WW Rate Summary"/>
      <sheetName val="Water WEC Charge"/>
      <sheetName val="Water REV COS"/>
      <sheetName val="WW REV COS"/>
      <sheetName val="W WW Comp Impact"/>
      <sheetName val="Elec W WW Comb Impact"/>
      <sheetName val="CUC Sum Revs Exp"/>
      <sheetName val="Support"/>
      <sheetName val="GPA LR Table"/>
      <sheetName val="Buffer"/>
      <sheetName val="Revenue Calculator"/>
      <sheetName val="TY Functionalized Elec"/>
      <sheetName val="TY Classified Electric"/>
      <sheetName val="Cost Allocations 2"/>
      <sheetName val="Forecast NR Revenue"/>
      <sheetName val="TSS BOD"/>
      <sheetName val="BOD TSS Sum Cha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52">
          <cell r="G152">
            <v>261011645.29946345</v>
          </cell>
        </row>
      </sheetData>
      <sheetData sheetId="13">
        <row r="154">
          <cell r="G154">
            <v>1325661431.0699999</v>
          </cell>
        </row>
      </sheetData>
      <sheetData sheetId="14">
        <row r="139">
          <cell r="G139">
            <v>120000</v>
          </cell>
        </row>
        <row r="140">
          <cell r="G140">
            <v>6986308.6300000008</v>
          </cell>
        </row>
        <row r="141">
          <cell r="G141">
            <v>20221606</v>
          </cell>
        </row>
        <row r="142">
          <cell r="G142">
            <v>38466491</v>
          </cell>
        </row>
        <row r="143">
          <cell r="G143">
            <v>1240533</v>
          </cell>
        </row>
        <row r="146">
          <cell r="G146">
            <v>489742168.38999999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7">
          <cell r="D17">
            <v>36443984.170000002</v>
          </cell>
        </row>
        <row r="18">
          <cell r="D18">
            <v>0</v>
          </cell>
        </row>
        <row r="19">
          <cell r="D19">
            <v>3539689.0000000005</v>
          </cell>
        </row>
        <row r="20">
          <cell r="D20">
            <v>12685279</v>
          </cell>
        </row>
        <row r="40">
          <cell r="D40">
            <v>741.16666666666663</v>
          </cell>
        </row>
        <row r="41">
          <cell r="D41">
            <v>0</v>
          </cell>
        </row>
        <row r="42">
          <cell r="D42">
            <v>12.25</v>
          </cell>
        </row>
        <row r="43">
          <cell r="D43">
            <v>180.91666666666666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19">
          <cell r="F19">
            <v>3716357.4000000004</v>
          </cell>
        </row>
        <row r="20">
          <cell r="F20">
            <v>61492069.359999999</v>
          </cell>
        </row>
        <row r="21">
          <cell r="F21">
            <v>31282126</v>
          </cell>
        </row>
        <row r="22">
          <cell r="F22">
            <v>39067420</v>
          </cell>
        </row>
        <row r="23">
          <cell r="F23">
            <v>3035722</v>
          </cell>
        </row>
        <row r="152">
          <cell r="F152">
            <v>49</v>
          </cell>
        </row>
        <row r="153">
          <cell r="F153">
            <v>194</v>
          </cell>
        </row>
        <row r="154">
          <cell r="F154">
            <v>58</v>
          </cell>
        </row>
        <row r="155">
          <cell r="F155">
            <v>18</v>
          </cell>
        </row>
        <row r="156">
          <cell r="F156">
            <v>11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128">
          <cell r="D128">
            <v>24</v>
          </cell>
        </row>
        <row r="129">
          <cell r="D129">
            <v>696</v>
          </cell>
        </row>
        <row r="130">
          <cell r="D130">
            <v>384</v>
          </cell>
        </row>
        <row r="131">
          <cell r="D131">
            <v>180</v>
          </cell>
        </row>
        <row r="132">
          <cell r="D132">
            <v>24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42422-9487-4DC6-AA9A-98D6D62176AC}">
  <sheetPr>
    <pageSetUpPr fitToPage="1"/>
  </sheetPr>
  <dimension ref="A1:O32"/>
  <sheetViews>
    <sheetView tabSelected="1" workbookViewId="0">
      <selection activeCell="D3" sqref="D3:H4"/>
    </sheetView>
  </sheetViews>
  <sheetFormatPr defaultRowHeight="14.4" x14ac:dyDescent="0.55000000000000004"/>
  <cols>
    <col min="1" max="1" width="25.15625" customWidth="1"/>
    <col min="2" max="4" width="14" customWidth="1"/>
    <col min="5" max="6" width="15.1015625" bestFit="1" customWidth="1"/>
    <col min="7" max="8" width="14" customWidth="1"/>
    <col min="9" max="9" width="49.62890625" bestFit="1" customWidth="1"/>
    <col min="10" max="10" width="56.89453125" customWidth="1"/>
    <col min="11" max="11" width="12.3671875" customWidth="1"/>
    <col min="12" max="12" width="13.20703125" bestFit="1" customWidth="1"/>
    <col min="13" max="14" width="12.734375" bestFit="1" customWidth="1"/>
    <col min="15" max="15" width="10.20703125" bestFit="1" customWidth="1"/>
  </cols>
  <sheetData>
    <row r="1" spans="1:10" ht="21.6" thickTop="1" x14ac:dyDescent="0.85">
      <c r="A1" s="17" t="s">
        <v>48</v>
      </c>
      <c r="B1" s="18"/>
      <c r="C1" s="18"/>
      <c r="D1" s="18"/>
      <c r="E1" s="18"/>
      <c r="F1" s="18"/>
      <c r="G1" s="18"/>
      <c r="H1" s="18"/>
      <c r="I1" s="18"/>
      <c r="J1" s="35"/>
    </row>
    <row r="2" spans="1:10" s="1" customFormat="1" ht="18.600000000000001" thickBot="1" x14ac:dyDescent="0.75">
      <c r="A2" s="20" t="s">
        <v>49</v>
      </c>
      <c r="B2" s="21"/>
      <c r="C2" s="21"/>
      <c r="D2" s="21"/>
      <c r="E2" s="21"/>
      <c r="F2" s="21"/>
      <c r="G2" s="21"/>
      <c r="H2" s="21"/>
      <c r="I2" s="21"/>
      <c r="J2" s="36"/>
    </row>
    <row r="3" spans="1:10" s="1" customFormat="1" x14ac:dyDescent="0.55000000000000004">
      <c r="A3" s="24"/>
      <c r="B3" s="26" t="s">
        <v>24</v>
      </c>
      <c r="C3" s="70" t="s">
        <v>59</v>
      </c>
      <c r="D3" s="77" t="s">
        <v>0</v>
      </c>
      <c r="E3" s="26"/>
      <c r="F3" s="27"/>
      <c r="G3" s="28"/>
      <c r="H3" s="32" t="s">
        <v>0</v>
      </c>
      <c r="I3" s="38"/>
      <c r="J3" s="39"/>
    </row>
    <row r="4" spans="1:10" ht="15.6" thickBot="1" x14ac:dyDescent="0.75">
      <c r="A4" s="25"/>
      <c r="B4" s="29" t="s">
        <v>57</v>
      </c>
      <c r="C4" s="71" t="s">
        <v>58</v>
      </c>
      <c r="D4" s="78" t="s">
        <v>66</v>
      </c>
      <c r="E4" s="29" t="s">
        <v>25</v>
      </c>
      <c r="F4" s="30" t="s">
        <v>26</v>
      </c>
      <c r="G4" s="31" t="s">
        <v>27</v>
      </c>
      <c r="H4" s="33" t="s">
        <v>60</v>
      </c>
      <c r="I4" s="41" t="s">
        <v>61</v>
      </c>
      <c r="J4" s="40" t="s">
        <v>65</v>
      </c>
    </row>
    <row r="5" spans="1:10" s="2" customFormat="1" x14ac:dyDescent="0.55000000000000004">
      <c r="A5" s="49" t="s">
        <v>50</v>
      </c>
      <c r="B5" s="57">
        <v>486276.2</v>
      </c>
      <c r="C5" s="72">
        <v>6473826.3700000001</v>
      </c>
      <c r="D5" s="79">
        <f>C5+B5</f>
        <v>6960102.5700000003</v>
      </c>
      <c r="E5" s="57">
        <v>539116.16</v>
      </c>
      <c r="F5" s="58">
        <v>233008.97</v>
      </c>
      <c r="G5" s="59">
        <v>149883.64000000001</v>
      </c>
      <c r="H5" s="60">
        <f>SUM(D5:G5)</f>
        <v>7882111.3399999999</v>
      </c>
      <c r="I5" s="42"/>
      <c r="J5" s="43"/>
    </row>
    <row r="6" spans="1:10" x14ac:dyDescent="0.55000000000000004">
      <c r="A6" s="50" t="s">
        <v>53</v>
      </c>
      <c r="B6" s="51"/>
      <c r="C6" s="73">
        <v>600000</v>
      </c>
      <c r="D6" s="80">
        <f t="shared" ref="D6:D27" si="0">C6+B6</f>
        <v>600000</v>
      </c>
      <c r="E6" s="54">
        <v>50000</v>
      </c>
      <c r="F6" s="52">
        <v>50000</v>
      </c>
      <c r="G6" s="55"/>
      <c r="H6" s="56">
        <f t="shared" ref="H6:H27" si="1">SUM(D6:G6)</f>
        <v>700000</v>
      </c>
      <c r="I6" s="44" t="s">
        <v>54</v>
      </c>
      <c r="J6" s="45"/>
    </row>
    <row r="7" spans="1:10" x14ac:dyDescent="0.55000000000000004">
      <c r="A7" s="50" t="s">
        <v>55</v>
      </c>
      <c r="B7" s="51"/>
      <c r="C7" s="73"/>
      <c r="D7" s="80">
        <f t="shared" si="0"/>
        <v>0</v>
      </c>
      <c r="E7" s="54">
        <f>350000+400000</f>
        <v>750000</v>
      </c>
      <c r="F7" s="52">
        <v>400000</v>
      </c>
      <c r="G7" s="55"/>
      <c r="H7" s="56">
        <f t="shared" si="1"/>
        <v>1150000</v>
      </c>
      <c r="I7" s="44" t="s">
        <v>56</v>
      </c>
      <c r="J7" s="45"/>
    </row>
    <row r="8" spans="1:10" s="2" customFormat="1" x14ac:dyDescent="0.55000000000000004">
      <c r="A8" s="50" t="s">
        <v>1</v>
      </c>
      <c r="B8" s="54"/>
      <c r="C8" s="73">
        <v>503231.71</v>
      </c>
      <c r="D8" s="80">
        <f t="shared" si="0"/>
        <v>503231.71</v>
      </c>
      <c r="E8" s="54"/>
      <c r="F8" s="52"/>
      <c r="G8" s="53"/>
      <c r="H8" s="56">
        <f t="shared" si="1"/>
        <v>503231.71</v>
      </c>
      <c r="I8" s="44" t="s">
        <v>11</v>
      </c>
      <c r="J8" s="46"/>
    </row>
    <row r="9" spans="1:10" s="2" customFormat="1" x14ac:dyDescent="0.55000000000000004">
      <c r="A9" s="50" t="s">
        <v>10</v>
      </c>
      <c r="B9" s="54"/>
      <c r="C9" s="73">
        <v>3530085.9</v>
      </c>
      <c r="D9" s="80">
        <f t="shared" si="0"/>
        <v>3530085.9</v>
      </c>
      <c r="E9" s="54"/>
      <c r="F9" s="52"/>
      <c r="G9" s="53"/>
      <c r="H9" s="56">
        <f t="shared" si="1"/>
        <v>3530085.9</v>
      </c>
      <c r="I9" s="44" t="s">
        <v>12</v>
      </c>
      <c r="J9" s="46"/>
    </row>
    <row r="10" spans="1:10" s="2" customFormat="1" x14ac:dyDescent="0.55000000000000004">
      <c r="A10" s="50" t="s">
        <v>2</v>
      </c>
      <c r="B10" s="54"/>
      <c r="C10" s="73"/>
      <c r="D10" s="80">
        <f t="shared" si="0"/>
        <v>0</v>
      </c>
      <c r="E10" s="54"/>
      <c r="F10" s="52"/>
      <c r="G10" s="53">
        <v>384926.85</v>
      </c>
      <c r="H10" s="56">
        <f t="shared" si="1"/>
        <v>384926.85</v>
      </c>
      <c r="I10" s="44" t="s">
        <v>62</v>
      </c>
      <c r="J10" s="46" t="s">
        <v>37</v>
      </c>
    </row>
    <row r="11" spans="1:10" s="2" customFormat="1" x14ac:dyDescent="0.55000000000000004">
      <c r="A11" s="50" t="s">
        <v>3</v>
      </c>
      <c r="B11" s="54"/>
      <c r="C11" s="73">
        <v>2440390.85</v>
      </c>
      <c r="D11" s="80">
        <f t="shared" si="0"/>
        <v>2440390.85</v>
      </c>
      <c r="E11" s="54"/>
      <c r="F11" s="52"/>
      <c r="G11" s="53"/>
      <c r="H11" s="56">
        <f t="shared" si="1"/>
        <v>2440390.85</v>
      </c>
      <c r="I11" s="44" t="s">
        <v>13</v>
      </c>
      <c r="J11" s="46"/>
    </row>
    <row r="12" spans="1:10" s="2" customFormat="1" x14ac:dyDescent="0.55000000000000004">
      <c r="A12" s="50" t="s">
        <v>4</v>
      </c>
      <c r="B12" s="54"/>
      <c r="C12" s="73">
        <v>235273.07</v>
      </c>
      <c r="D12" s="80">
        <f t="shared" si="0"/>
        <v>235273.07</v>
      </c>
      <c r="E12" s="54"/>
      <c r="F12" s="52"/>
      <c r="G12" s="53"/>
      <c r="H12" s="56">
        <f t="shared" si="1"/>
        <v>235273.07</v>
      </c>
      <c r="I12" s="44" t="s">
        <v>14</v>
      </c>
      <c r="J12" s="46"/>
    </row>
    <row r="13" spans="1:10" s="2" customFormat="1" x14ac:dyDescent="0.55000000000000004">
      <c r="A13" s="50" t="s">
        <v>5</v>
      </c>
      <c r="B13" s="54"/>
      <c r="C13" s="73">
        <v>355538</v>
      </c>
      <c r="D13" s="80">
        <f t="shared" si="0"/>
        <v>355538</v>
      </c>
      <c r="E13" s="54"/>
      <c r="F13" s="52"/>
      <c r="G13" s="53"/>
      <c r="H13" s="56">
        <f t="shared" si="1"/>
        <v>355538</v>
      </c>
      <c r="I13" s="44" t="s">
        <v>13</v>
      </c>
      <c r="J13" s="46"/>
    </row>
    <row r="14" spans="1:10" s="2" customFormat="1" x14ac:dyDescent="0.55000000000000004">
      <c r="A14" s="50" t="s">
        <v>22</v>
      </c>
      <c r="B14" s="54"/>
      <c r="C14" s="73"/>
      <c r="D14" s="80">
        <f t="shared" si="0"/>
        <v>0</v>
      </c>
      <c r="E14" s="54">
        <v>168550.87</v>
      </c>
      <c r="F14" s="52"/>
      <c r="G14" s="53"/>
      <c r="H14" s="56">
        <f t="shared" si="1"/>
        <v>168550.87</v>
      </c>
      <c r="I14" s="44" t="s">
        <v>15</v>
      </c>
      <c r="J14" s="46"/>
    </row>
    <row r="15" spans="1:10" s="2" customFormat="1" x14ac:dyDescent="0.55000000000000004">
      <c r="A15" s="50" t="s">
        <v>6</v>
      </c>
      <c r="B15" s="54"/>
      <c r="C15" s="73"/>
      <c r="D15" s="80">
        <f t="shared" si="0"/>
        <v>0</v>
      </c>
      <c r="E15" s="54">
        <v>112800</v>
      </c>
      <c r="F15" s="52"/>
      <c r="G15" s="53"/>
      <c r="H15" s="56">
        <f t="shared" si="1"/>
        <v>112800</v>
      </c>
      <c r="I15" s="44" t="s">
        <v>16</v>
      </c>
      <c r="J15" s="46"/>
    </row>
    <row r="16" spans="1:10" s="2" customFormat="1" x14ac:dyDescent="0.55000000000000004">
      <c r="A16" s="50" t="s">
        <v>7</v>
      </c>
      <c r="B16" s="54"/>
      <c r="C16" s="73"/>
      <c r="D16" s="80">
        <f t="shared" si="0"/>
        <v>0</v>
      </c>
      <c r="E16" s="54">
        <v>371365</v>
      </c>
      <c r="F16" s="52"/>
      <c r="G16" s="53"/>
      <c r="H16" s="56">
        <f t="shared" si="1"/>
        <v>371365</v>
      </c>
      <c r="I16" s="44" t="s">
        <v>17</v>
      </c>
      <c r="J16" s="46"/>
    </row>
    <row r="17" spans="1:15" s="2" customFormat="1" x14ac:dyDescent="0.55000000000000004">
      <c r="A17" s="50" t="s">
        <v>6</v>
      </c>
      <c r="B17" s="54"/>
      <c r="C17" s="73"/>
      <c r="D17" s="80">
        <f t="shared" si="0"/>
        <v>0</v>
      </c>
      <c r="E17" s="54">
        <v>213241.14</v>
      </c>
      <c r="F17" s="52"/>
      <c r="G17" s="53"/>
      <c r="H17" s="56">
        <f t="shared" si="1"/>
        <v>213241.14</v>
      </c>
      <c r="I17" s="44" t="s">
        <v>19</v>
      </c>
      <c r="J17" s="46"/>
    </row>
    <row r="18" spans="1:15" s="2" customFormat="1" x14ac:dyDescent="0.55000000000000004">
      <c r="A18" s="50" t="s">
        <v>6</v>
      </c>
      <c r="B18" s="54"/>
      <c r="C18" s="73"/>
      <c r="D18" s="80">
        <f t="shared" si="0"/>
        <v>0</v>
      </c>
      <c r="E18" s="54">
        <v>188425.67</v>
      </c>
      <c r="F18" s="52"/>
      <c r="G18" s="53"/>
      <c r="H18" s="56">
        <f t="shared" si="1"/>
        <v>188425.67</v>
      </c>
      <c r="I18" s="44" t="s">
        <v>18</v>
      </c>
      <c r="J18" s="46"/>
    </row>
    <row r="19" spans="1:15" s="2" customFormat="1" ht="43.2" x14ac:dyDescent="0.55000000000000004">
      <c r="A19" s="50" t="s">
        <v>8</v>
      </c>
      <c r="B19" s="54"/>
      <c r="C19" s="73">
        <v>11000000</v>
      </c>
      <c r="D19" s="80">
        <f t="shared" si="0"/>
        <v>11000000</v>
      </c>
      <c r="E19" s="54"/>
      <c r="F19" s="52"/>
      <c r="G19" s="53"/>
      <c r="H19" s="56">
        <f t="shared" si="1"/>
        <v>11000000</v>
      </c>
      <c r="I19" s="44" t="s">
        <v>23</v>
      </c>
      <c r="J19" s="47" t="s">
        <v>36</v>
      </c>
      <c r="L19" s="2" t="s">
        <v>51</v>
      </c>
    </row>
    <row r="20" spans="1:15" s="2" customFormat="1" ht="44.1" x14ac:dyDescent="0.7">
      <c r="A20" s="50" t="s">
        <v>9</v>
      </c>
      <c r="B20" s="54">
        <v>8424000</v>
      </c>
      <c r="C20" s="73"/>
      <c r="D20" s="80">
        <f t="shared" si="0"/>
        <v>8424000</v>
      </c>
      <c r="E20" s="54"/>
      <c r="F20" s="52"/>
      <c r="G20" s="53"/>
      <c r="H20" s="56">
        <f t="shared" si="1"/>
        <v>8424000</v>
      </c>
      <c r="I20" s="44" t="s">
        <v>20</v>
      </c>
      <c r="J20" s="47" t="s">
        <v>28</v>
      </c>
      <c r="L20" s="13" t="s">
        <v>33</v>
      </c>
      <c r="M20" s="11" t="s">
        <v>52</v>
      </c>
      <c r="N20" s="11" t="s">
        <v>29</v>
      </c>
      <c r="O20" s="12" t="s">
        <v>0</v>
      </c>
    </row>
    <row r="21" spans="1:15" s="2" customFormat="1" ht="43.2" x14ac:dyDescent="0.55000000000000004">
      <c r="A21" s="50" t="s">
        <v>9</v>
      </c>
      <c r="B21" s="54">
        <f>188000+140000*4</f>
        <v>748000</v>
      </c>
      <c r="C21" s="73"/>
      <c r="D21" s="80">
        <f t="shared" si="0"/>
        <v>748000</v>
      </c>
      <c r="E21" s="54"/>
      <c r="F21" s="52"/>
      <c r="G21" s="53"/>
      <c r="H21" s="56">
        <f t="shared" si="1"/>
        <v>748000</v>
      </c>
      <c r="I21" s="44" t="s">
        <v>34</v>
      </c>
      <c r="J21" s="47" t="s">
        <v>35</v>
      </c>
      <c r="L21" s="4" t="s">
        <v>30</v>
      </c>
      <c r="M21" s="5">
        <v>100500</v>
      </c>
      <c r="N21" s="5">
        <v>75000</v>
      </c>
      <c r="O21" s="6">
        <f>SUM(M21:N21)</f>
        <v>175500</v>
      </c>
    </row>
    <row r="22" spans="1:15" s="2" customFormat="1" ht="44.1" x14ac:dyDescent="0.7">
      <c r="A22" s="50" t="s">
        <v>40</v>
      </c>
      <c r="B22" s="54">
        <v>83000</v>
      </c>
      <c r="C22" s="73"/>
      <c r="D22" s="80">
        <f t="shared" si="0"/>
        <v>83000</v>
      </c>
      <c r="E22" s="54"/>
      <c r="F22" s="52"/>
      <c r="G22" s="53"/>
      <c r="H22" s="56">
        <f t="shared" si="1"/>
        <v>83000</v>
      </c>
      <c r="I22" s="48" t="s">
        <v>63</v>
      </c>
      <c r="J22" s="47"/>
      <c r="L22" s="7" t="s">
        <v>31</v>
      </c>
      <c r="M22" s="14">
        <f>+M21*12</f>
        <v>1206000</v>
      </c>
      <c r="N22" s="15">
        <f>+N21*12</f>
        <v>900000</v>
      </c>
      <c r="O22" s="16">
        <f>SUM(M22:N22)</f>
        <v>2106000</v>
      </c>
    </row>
    <row r="23" spans="1:15" s="2" customFormat="1" x14ac:dyDescent="0.55000000000000004">
      <c r="A23" s="50" t="s">
        <v>41</v>
      </c>
      <c r="B23" s="54">
        <f>986000+350000+300000</f>
        <v>1636000</v>
      </c>
      <c r="C23" s="73"/>
      <c r="D23" s="80">
        <f t="shared" si="0"/>
        <v>1636000</v>
      </c>
      <c r="E23" s="54"/>
      <c r="F23" s="52"/>
      <c r="G23" s="53"/>
      <c r="H23" s="56">
        <f t="shared" si="1"/>
        <v>1636000</v>
      </c>
      <c r="I23" s="44" t="s">
        <v>43</v>
      </c>
      <c r="J23" s="47"/>
      <c r="L23" s="8" t="s">
        <v>32</v>
      </c>
      <c r="M23" s="9">
        <f>+M22*4</f>
        <v>4824000</v>
      </c>
      <c r="N23" s="9">
        <f>+N22*4</f>
        <v>3600000</v>
      </c>
      <c r="O23" s="10">
        <f>+M23+N23</f>
        <v>8424000</v>
      </c>
    </row>
    <row r="24" spans="1:15" s="2" customFormat="1" x14ac:dyDescent="0.55000000000000004">
      <c r="A24" s="50" t="s">
        <v>42</v>
      </c>
      <c r="B24" s="54">
        <v>895241</v>
      </c>
      <c r="C24" s="73"/>
      <c r="D24" s="80">
        <f t="shared" si="0"/>
        <v>895241</v>
      </c>
      <c r="E24" s="54"/>
      <c r="F24" s="52"/>
      <c r="G24" s="53"/>
      <c r="H24" s="56">
        <f t="shared" si="1"/>
        <v>895241</v>
      </c>
      <c r="I24" s="44" t="s">
        <v>64</v>
      </c>
      <c r="J24" s="47"/>
      <c r="L24" s="3"/>
      <c r="M24" s="3"/>
      <c r="N24" s="3"/>
    </row>
    <row r="25" spans="1:15" s="2" customFormat="1" ht="28.8" x14ac:dyDescent="0.55000000000000004">
      <c r="A25" s="50" t="s">
        <v>38</v>
      </c>
      <c r="B25" s="51"/>
      <c r="C25" s="74"/>
      <c r="D25" s="80">
        <f t="shared" si="0"/>
        <v>0</v>
      </c>
      <c r="E25" s="54">
        <v>5040000</v>
      </c>
      <c r="F25" s="52">
        <v>3500000</v>
      </c>
      <c r="G25" s="55"/>
      <c r="H25" s="56">
        <f t="shared" si="1"/>
        <v>8540000</v>
      </c>
      <c r="I25" s="48" t="s">
        <v>39</v>
      </c>
      <c r="J25" s="47"/>
      <c r="L25" s="3"/>
      <c r="M25" s="3"/>
      <c r="N25" s="3"/>
    </row>
    <row r="26" spans="1:15" s="2" customFormat="1" ht="28.8" x14ac:dyDescent="0.55000000000000004">
      <c r="A26" s="50" t="s">
        <v>44</v>
      </c>
      <c r="B26" s="51"/>
      <c r="C26" s="73">
        <v>11000000</v>
      </c>
      <c r="D26" s="80">
        <f t="shared" si="0"/>
        <v>11000000</v>
      </c>
      <c r="E26" s="54"/>
      <c r="F26" s="52"/>
      <c r="G26" s="55"/>
      <c r="H26" s="56">
        <f t="shared" si="1"/>
        <v>11000000</v>
      </c>
      <c r="I26" s="48" t="s">
        <v>45</v>
      </c>
      <c r="J26" s="47"/>
      <c r="L26" s="3"/>
      <c r="M26" s="3"/>
      <c r="N26" s="3"/>
    </row>
    <row r="27" spans="1:15" ht="29.1" thickBot="1" x14ac:dyDescent="0.6">
      <c r="A27" s="62" t="s">
        <v>46</v>
      </c>
      <c r="B27" s="63"/>
      <c r="C27" s="75">
        <v>3000000</v>
      </c>
      <c r="D27" s="81">
        <f t="shared" si="0"/>
        <v>3000000</v>
      </c>
      <c r="E27" s="65"/>
      <c r="F27" s="64"/>
      <c r="G27" s="66"/>
      <c r="H27" s="67">
        <f t="shared" si="1"/>
        <v>3000000</v>
      </c>
      <c r="I27" s="68" t="s">
        <v>47</v>
      </c>
      <c r="J27" s="69"/>
    </row>
    <row r="28" spans="1:15" ht="24.6" customHeight="1" thickBot="1" x14ac:dyDescent="0.6">
      <c r="A28" s="23" t="s">
        <v>21</v>
      </c>
      <c r="B28" s="61">
        <f t="shared" ref="B28:H28" si="2">SUM(B5:B27)</f>
        <v>12272517.199999999</v>
      </c>
      <c r="C28" s="76">
        <f t="shared" ref="C28" si="3">SUM(C5:C27)</f>
        <v>39138345.899999999</v>
      </c>
      <c r="D28" s="93">
        <f t="shared" ref="D28" si="4">SUM(D5:D27)</f>
        <v>51410863.100000001</v>
      </c>
      <c r="E28" s="91">
        <f t="shared" si="2"/>
        <v>7433498.8399999999</v>
      </c>
      <c r="F28" s="92">
        <f t="shared" si="2"/>
        <v>4183008.9699999997</v>
      </c>
      <c r="G28" s="96">
        <f t="shared" si="2"/>
        <v>534810.49</v>
      </c>
      <c r="H28" s="97">
        <f t="shared" si="2"/>
        <v>63562181.400000006</v>
      </c>
      <c r="I28" s="34"/>
      <c r="J28" s="37"/>
    </row>
    <row r="29" spans="1:15" ht="15" thickTop="1" thickBot="1" x14ac:dyDescent="0.6">
      <c r="A29" s="82" t="s">
        <v>67</v>
      </c>
      <c r="B29" s="83"/>
      <c r="C29" s="83"/>
      <c r="D29" s="98">
        <f>D28/$H$28</f>
        <v>0.80882785907659227</v>
      </c>
      <c r="E29" s="99">
        <f t="shared" ref="E29:G29" si="5">E28/$H$28</f>
        <v>0.1169484538804705</v>
      </c>
      <c r="F29" s="99">
        <f t="shared" si="5"/>
        <v>6.5809713856044588E-2</v>
      </c>
      <c r="G29" s="100">
        <f t="shared" si="5"/>
        <v>8.413973186892543E-3</v>
      </c>
      <c r="H29" s="101">
        <f>SUM(D29:G29)</f>
        <v>0.99999999999999989</v>
      </c>
    </row>
    <row r="30" spans="1:15" ht="14.7" thickBot="1" x14ac:dyDescent="0.6">
      <c r="A30" s="84" t="s">
        <v>68</v>
      </c>
      <c r="B30" s="85"/>
      <c r="C30" s="85"/>
      <c r="D30" s="95">
        <f>D28+D29*$G$28</f>
        <v>51843432.723638408</v>
      </c>
      <c r="E30" s="86">
        <f t="shared" ref="E30:F30" si="6">E28+E29*$G$28</f>
        <v>7496044.0999245569</v>
      </c>
      <c r="F30" s="86">
        <f t="shared" si="6"/>
        <v>4218204.6953141112</v>
      </c>
      <c r="G30" s="102">
        <v>0</v>
      </c>
      <c r="H30" s="87">
        <f>SUM(D30:G30)</f>
        <v>63557681.518877074</v>
      </c>
    </row>
    <row r="31" spans="1:15" ht="14.7" thickBot="1" x14ac:dyDescent="0.6">
      <c r="A31" s="89" t="s">
        <v>69</v>
      </c>
      <c r="B31" s="88"/>
      <c r="C31" s="88"/>
      <c r="D31" s="93">
        <f>$H$31*D30/$H$30</f>
        <v>16313821.235987201</v>
      </c>
      <c r="E31" s="93">
        <f t="shared" ref="E31:F31" si="7">$H$31*E30/$H$30</f>
        <v>2358816.0929684569</v>
      </c>
      <c r="F31" s="96">
        <f t="shared" si="7"/>
        <v>1327362.6710443411</v>
      </c>
      <c r="G31" s="94"/>
      <c r="H31" s="87">
        <v>20000000</v>
      </c>
    </row>
    <row r="32" spans="1:15" ht="14.7" thickTop="1" x14ac:dyDescent="0.55000000000000004">
      <c r="H32" s="90">
        <f>IF(SUM(D31:F31)-H30,, "Error")</f>
        <v>0</v>
      </c>
    </row>
  </sheetData>
  <conditionalFormatting sqref="H32">
    <cfRule type="cellIs" dxfId="0" priority="1" operator="equal">
      <formula>0</formula>
    </cfRule>
  </conditionalFormatting>
  <printOptions horizontalCentered="1" gridLines="1"/>
  <pageMargins left="0.45" right="0.45" top="0.75" bottom="0.75" header="0.3" footer="0.3"/>
  <pageSetup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30BCC-A2B2-4CAA-84F2-7D0D6AFE4B3B}">
  <dimension ref="A1:H25"/>
  <sheetViews>
    <sheetView topLeftCell="A16" workbookViewId="0">
      <selection activeCell="G27" sqref="G27"/>
    </sheetView>
  </sheetViews>
  <sheetFormatPr defaultRowHeight="14.4" x14ac:dyDescent="0.55000000000000004"/>
  <cols>
    <col min="1" max="1" width="32" customWidth="1"/>
    <col min="2" max="5" width="13.62890625" customWidth="1"/>
  </cols>
  <sheetData>
    <row r="1" spans="1:8" ht="21.6" thickTop="1" x14ac:dyDescent="0.85">
      <c r="A1" s="17" t="s">
        <v>48</v>
      </c>
      <c r="B1" s="17"/>
      <c r="C1" s="18"/>
      <c r="D1" s="19"/>
      <c r="F1" s="18" t="s">
        <v>70</v>
      </c>
      <c r="G1" s="18"/>
      <c r="H1" s="18"/>
    </row>
    <row r="2" spans="1:8" ht="18.600000000000001" thickBot="1" x14ac:dyDescent="0.75">
      <c r="A2" s="104" t="s">
        <v>86</v>
      </c>
      <c r="B2" s="104"/>
      <c r="C2" s="105"/>
      <c r="D2" s="110"/>
      <c r="F2" s="21" t="s">
        <v>70</v>
      </c>
      <c r="G2" s="21"/>
      <c r="H2" s="21"/>
    </row>
    <row r="3" spans="1:8" x14ac:dyDescent="0.55000000000000004">
      <c r="A3" s="22"/>
      <c r="B3" s="26" t="s">
        <v>0</v>
      </c>
      <c r="C3" s="27"/>
      <c r="D3" s="121"/>
    </row>
    <row r="4" spans="1:8" ht="15.6" thickBot="1" x14ac:dyDescent="0.75">
      <c r="A4" s="106" t="s">
        <v>71</v>
      </c>
      <c r="B4" s="29" t="s">
        <v>66</v>
      </c>
      <c r="C4" s="30" t="s">
        <v>25</v>
      </c>
      <c r="D4" s="122" t="s">
        <v>26</v>
      </c>
    </row>
    <row r="5" spans="1:8" x14ac:dyDescent="0.55000000000000004">
      <c r="A5" s="108" t="s">
        <v>74</v>
      </c>
      <c r="B5" s="111">
        <f>'[1]Power Summary'!$G$152</f>
        <v>261011645.29946345</v>
      </c>
      <c r="C5" s="112">
        <f>'[1]Water Summary'!$G$154/1000</f>
        <v>1325661.4310699999</v>
      </c>
      <c r="D5" s="123">
        <f>'[1]WW Summary'!$G$146/1000</f>
        <v>489742.16839000001</v>
      </c>
    </row>
    <row r="6" spans="1:8" x14ac:dyDescent="0.55000000000000004">
      <c r="A6" s="108" t="s">
        <v>72</v>
      </c>
      <c r="B6" s="113">
        <f>'Expense Detail'!D31</f>
        <v>16313821.235987201</v>
      </c>
      <c r="C6" s="114">
        <f>'Expense Detail'!E31</f>
        <v>2358816.0929684569</v>
      </c>
      <c r="D6" s="124">
        <f>'Expense Detail'!F31</f>
        <v>1327362.6710443411</v>
      </c>
    </row>
    <row r="7" spans="1:8" x14ac:dyDescent="0.55000000000000004">
      <c r="A7" s="108" t="s">
        <v>73</v>
      </c>
      <c r="B7" s="115">
        <f>B6/B5</f>
        <v>6.250227348005892E-2</v>
      </c>
      <c r="C7" s="116">
        <f t="shared" ref="C7:D7" si="0">C6/C5</f>
        <v>1.7793503210427961</v>
      </c>
      <c r="D7" s="125">
        <f t="shared" si="0"/>
        <v>2.7103295503590625</v>
      </c>
    </row>
    <row r="8" spans="1:8" x14ac:dyDescent="0.55000000000000004">
      <c r="A8" s="108" t="s">
        <v>75</v>
      </c>
      <c r="B8" s="117">
        <f>500*B7</f>
        <v>31.251136740029459</v>
      </c>
      <c r="C8" s="118">
        <f>C7*5</f>
        <v>8.8967516052139803</v>
      </c>
      <c r="D8" s="126">
        <f>D7*5</f>
        <v>13.551647751795313</v>
      </c>
    </row>
    <row r="9" spans="1:8" x14ac:dyDescent="0.55000000000000004">
      <c r="A9" s="108" t="s">
        <v>76</v>
      </c>
      <c r="B9" s="117">
        <f>B7*2500</f>
        <v>156.2556837001473</v>
      </c>
      <c r="C9" s="118">
        <f>C7*20</f>
        <v>35.587006420855921</v>
      </c>
      <c r="D9" s="126">
        <f>D7*20</f>
        <v>54.206591007181252</v>
      </c>
    </row>
    <row r="10" spans="1:8" ht="14.7" thickBot="1" x14ac:dyDescent="0.6">
      <c r="A10" s="109" t="s">
        <v>77</v>
      </c>
      <c r="B10" s="119">
        <f>B7*B15</f>
        <v>293.76068535627695</v>
      </c>
      <c r="C10" s="120">
        <f>C7*B20</f>
        <v>62.277261236497864</v>
      </c>
      <c r="D10" s="127">
        <f>D7*B25</f>
        <v>135.51647751795312</v>
      </c>
    </row>
    <row r="11" spans="1:8" ht="14.7" thickTop="1" x14ac:dyDescent="0.55000000000000004"/>
    <row r="12" spans="1:8" x14ac:dyDescent="0.55000000000000004">
      <c r="A12" s="107" t="s">
        <v>82</v>
      </c>
    </row>
    <row r="13" spans="1:8" x14ac:dyDescent="0.55000000000000004">
      <c r="A13" s="107" t="s">
        <v>83</v>
      </c>
      <c r="B13" s="103">
        <f>SUM('[1]P7 Power Fcst kWh Sales '!$D$17:$D$20)</f>
        <v>52668952.170000002</v>
      </c>
    </row>
    <row r="14" spans="1:8" x14ac:dyDescent="0.55000000000000004">
      <c r="A14" s="107" t="s">
        <v>80</v>
      </c>
      <c r="B14" s="103">
        <f>SUM('[1]P7 Power Fcst kWh Sales '!$D$40:$D$43)</f>
        <v>934.33333333333326</v>
      </c>
    </row>
    <row r="15" spans="1:8" x14ac:dyDescent="0.55000000000000004">
      <c r="A15" s="107" t="s">
        <v>85</v>
      </c>
      <c r="B15" s="103">
        <v>4700</v>
      </c>
    </row>
    <row r="16" spans="1:8" x14ac:dyDescent="0.55000000000000004">
      <c r="A16" s="107"/>
    </row>
    <row r="17" spans="1:2" x14ac:dyDescent="0.55000000000000004">
      <c r="A17" s="107" t="s">
        <v>78</v>
      </c>
    </row>
    <row r="18" spans="1:2" x14ac:dyDescent="0.55000000000000004">
      <c r="A18" s="107" t="s">
        <v>79</v>
      </c>
      <c r="B18" s="103">
        <f>(SUM('[1]W7 Water Fcst Volumes'!$F$19:$F$23))/1000</f>
        <v>138593.69475999998</v>
      </c>
    </row>
    <row r="19" spans="1:2" x14ac:dyDescent="0.55000000000000004">
      <c r="A19" s="107" t="s">
        <v>80</v>
      </c>
      <c r="B19">
        <f>SUM('[1]W7 Water Fcst Volumes'!$F$152:$F$156)</f>
        <v>330</v>
      </c>
    </row>
    <row r="20" spans="1:2" x14ac:dyDescent="0.55000000000000004">
      <c r="A20" s="107" t="s">
        <v>81</v>
      </c>
      <c r="B20">
        <v>35</v>
      </c>
    </row>
    <row r="22" spans="1:2" x14ac:dyDescent="0.55000000000000004">
      <c r="A22" s="107" t="s">
        <v>84</v>
      </c>
    </row>
    <row r="23" spans="1:2" x14ac:dyDescent="0.55000000000000004">
      <c r="A23" s="107" t="s">
        <v>79</v>
      </c>
      <c r="B23" s="103">
        <f>SUM('[1]WW Summary'!$G$139:$G$143)/1000</f>
        <v>67034.938630000004</v>
      </c>
    </row>
    <row r="24" spans="1:2" x14ac:dyDescent="0.55000000000000004">
      <c r="A24" s="107" t="s">
        <v>80</v>
      </c>
      <c r="B24" s="103">
        <f>SUM('[1]WW5 Wastewater Fcst Customer'!$D$128:$D$132)</f>
        <v>1308</v>
      </c>
    </row>
    <row r="25" spans="1:2" x14ac:dyDescent="0.55000000000000004">
      <c r="A25" s="107" t="s">
        <v>81</v>
      </c>
      <c r="B25" s="103">
        <v>50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Expense Detail</vt:lpstr>
      <vt:lpstr>Surcharge Calculation</vt:lpstr>
      <vt:lpstr>'Expense Detail'!Print_Area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Butac</dc:creator>
  <cp:lastModifiedBy>reyoung@economists.com</cp:lastModifiedBy>
  <cp:lastPrinted>2026-08-12T15:35:57Z</cp:lastPrinted>
  <dcterms:created xsi:type="dcterms:W3CDTF">2026-08-12T02:14:05Z</dcterms:created>
  <dcterms:modified xsi:type="dcterms:W3CDTF">2026-08-13T01:38:40Z</dcterms:modified>
</cp:coreProperties>
</file>